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15450" windowHeight="11505"/>
  </bookViews>
  <sheets>
    <sheet name="Ежекварт 2018 Проект" sheetId="1" r:id="rId1"/>
  </sheets>
  <calcPr calcId="145621" refMode="R1C1"/>
</workbook>
</file>

<file path=xl/calcChain.xml><?xml version="1.0" encoding="utf-8"?>
<calcChain xmlns="http://schemas.openxmlformats.org/spreadsheetml/2006/main">
  <c r="C16" i="1" l="1"/>
  <c r="C15" i="1"/>
  <c r="C31" i="1"/>
  <c r="C26" i="1"/>
  <c r="C44" i="1"/>
  <c r="C42" i="1"/>
  <c r="C41" i="1"/>
  <c r="C29" i="1"/>
  <c r="C23" i="1"/>
  <c r="C22" i="1"/>
  <c r="C53" i="1" l="1"/>
  <c r="D53" i="1" s="1"/>
  <c r="C55" i="1" l="1"/>
  <c r="D55" i="1" s="1"/>
  <c r="D54" i="1"/>
  <c r="D56" i="1"/>
  <c r="C52" i="1"/>
  <c r="D52" i="1" s="1"/>
  <c r="C36" i="1"/>
  <c r="C35" i="1"/>
  <c r="C39" i="1"/>
  <c r="D39" i="1" s="1"/>
  <c r="C38" i="1"/>
  <c r="D38" i="1" s="1"/>
  <c r="C37" i="1"/>
  <c r="D37" i="1" s="1"/>
  <c r="C34" i="1"/>
  <c r="D34" i="1" s="1"/>
  <c r="C33" i="1"/>
  <c r="D33" i="1" s="1"/>
  <c r="C27" i="1" l="1"/>
  <c r="C51" i="1"/>
  <c r="D51" i="1" s="1"/>
  <c r="D31" i="1" l="1"/>
  <c r="D24" i="1"/>
  <c r="C48" i="1"/>
  <c r="D26" i="1"/>
  <c r="C25" i="1"/>
  <c r="D23" i="1"/>
  <c r="C21" i="1"/>
  <c r="C20" i="1"/>
  <c r="C28" i="1"/>
  <c r="D28" i="1" s="1"/>
  <c r="D50" i="1" l="1"/>
  <c r="D48" i="1"/>
  <c r="C47" i="1"/>
  <c r="D47" i="1" s="1"/>
  <c r="C45" i="1"/>
  <c r="D45" i="1" s="1"/>
  <c r="D44" i="1"/>
  <c r="D42" i="1"/>
  <c r="D41" i="1"/>
  <c r="D36" i="1"/>
  <c r="D35" i="1"/>
  <c r="D29" i="1"/>
  <c r="D27" i="1"/>
  <c r="D25" i="1"/>
  <c r="D22" i="1"/>
  <c r="D21" i="1"/>
  <c r="C17" i="1"/>
  <c r="C57" i="1" l="1"/>
  <c r="D20" i="1"/>
  <c r="C58" i="1" l="1"/>
  <c r="C59" i="1" s="1"/>
  <c r="C60" i="1" s="1"/>
  <c r="C62" i="1" s="1"/>
  <c r="D62" i="1" s="1"/>
  <c r="D58" i="1" l="1"/>
</calcChain>
</file>

<file path=xl/sharedStrings.xml><?xml version="1.0" encoding="utf-8"?>
<sst xmlns="http://schemas.openxmlformats.org/spreadsheetml/2006/main" count="100" uniqueCount="95">
  <si>
    <t>ТОВАРИЩЕСТВО СОБСТВЕННИКОВ НЕДВИЖИМОСТИ</t>
  </si>
  <si>
    <t xml:space="preserve"> ЗЕМЕЛЬНЫХ УЧАСТКОВ "УДАЧНЫЙ"</t>
  </si>
  <si>
    <t>Утверждена Общим Собранием</t>
  </si>
  <si>
    <t>членов ТСН "Удачный"</t>
  </si>
  <si>
    <t>Наименование статьи расходов</t>
  </si>
  <si>
    <t>Расчет</t>
  </si>
  <si>
    <t>Сумма, руб.</t>
  </si>
  <si>
    <t>В год</t>
  </si>
  <si>
    <t>В месяц с собственника</t>
  </si>
  <si>
    <t>ПРИХОДНАЯ ЧАСТЬ</t>
  </si>
  <si>
    <t>Ежеквартальные взносы членов ТСН (членские взносы)</t>
  </si>
  <si>
    <t>РАСХОДНАЯ ЧАСТЬ</t>
  </si>
  <si>
    <t>Вывоз мусора янв - апр, окт - дек, 1 раз в 2 недели: маленькие контейнера, 2 шт.</t>
  </si>
  <si>
    <t>Вывоз мусора май - сент, 1 раз в неделю: маленькие контейнера, 2 шт.</t>
  </si>
  <si>
    <t>1 200 руб. х 12 мес.</t>
  </si>
  <si>
    <t>Почтовые расходы</t>
  </si>
  <si>
    <t>Папка с арочным механизмом 75 мм мраморная черная</t>
  </si>
  <si>
    <t>Ручка шариковая Attache Elementary синяя (толщина линии 0.5 мм)</t>
  </si>
  <si>
    <t>Конверт почтовый ForPost C4 (229x324 мм) Куда-Кому белый удаляемая лента (50 штук в упаковке)</t>
  </si>
  <si>
    <t>ЗП бухгалтера</t>
  </si>
  <si>
    <t>Страховые взносы с ФОТ</t>
  </si>
  <si>
    <t>Налог на землю (ЗОП)</t>
  </si>
  <si>
    <t>(234 816,06 + 49 035,96 +                              + 45 255,15 + 2 502 017,85) руб. х 0,3%</t>
  </si>
  <si>
    <t>Комиссии банка</t>
  </si>
  <si>
    <t>Аренда помещения по юридическому адресу</t>
  </si>
  <si>
    <t>один раз в год</t>
  </si>
  <si>
    <t>Сдача бухгалтерской отчетности через интернет (Астрал-отчет, тариф Оптимальный, МО, УСНО)</t>
  </si>
  <si>
    <t>Количество собственников на начало 2017 года</t>
  </si>
  <si>
    <t>Итого, в квартал, с собственника</t>
  </si>
  <si>
    <t>Председатель правления ТСН "Удачный"</t>
  </si>
  <si>
    <t>___________________/Новоселова Н.Г./</t>
  </si>
  <si>
    <t>М.П.</t>
  </si>
  <si>
    <t>Ежеквартальные взносы по договорам с индивидуальными собственниками</t>
  </si>
  <si>
    <t>Расчетно-кассовое обслуживание счета ВТБ24</t>
  </si>
  <si>
    <t>Всего, в квартал:</t>
  </si>
  <si>
    <t>Всего, в год:</t>
  </si>
  <si>
    <t>Итого, в год:</t>
  </si>
  <si>
    <t>Итого:</t>
  </si>
  <si>
    <t xml:space="preserve"> (членский, ежеквартальный взнос)</t>
  </si>
  <si>
    <t>Организационно-хозяйственные расходы: канцелярские товары для ведения делопроизводства и бухгалтерии (Комус)</t>
  </si>
  <si>
    <t>Содержание и обслуживание имущества общего пользования</t>
  </si>
  <si>
    <t>Организационно-хозяйственные расходы: вознаграждение сотрудников по трудовым и гражданско-правовым договорам</t>
  </si>
  <si>
    <t>Организационно-хозяйственные расходы: страховые взносы, налоги</t>
  </si>
  <si>
    <t>Организационно-хозяйственные расходы: банковское обслуживание</t>
  </si>
  <si>
    <t>Организационно-хозяйственные расходы: прочие расходы</t>
  </si>
  <si>
    <t>Непредвиденные (дополнительные) расходы на содержание и обслуживание инфраструктуры и другого имущества общего пользования</t>
  </si>
  <si>
    <t>Чистка подъездных путей к участкам от снега, янв - март, ноя - дек</t>
  </si>
  <si>
    <t>Чистка подъезной дороги к поселку от снега, янв - март, ноя - дек</t>
  </si>
  <si>
    <t>2 924 руб. х 5 мес.</t>
  </si>
  <si>
    <t>Приходно-расходная смета на содержание и обслуживание инфраструктуры и другого имущества общего пользования ТСН "Удачный" в 2018 году</t>
  </si>
  <si>
    <t>(450 руб. х 2 шт.) х 15 раз</t>
  </si>
  <si>
    <t>(450 руб. х 2 шт.) х 21 раз</t>
  </si>
  <si>
    <t>1 500 руб. х 100 м3</t>
  </si>
  <si>
    <t>Мероприятия по поддержанию функционального состояния подъездных путей к участкам (внутри поселковых дорог): подсыпка щебнем фракции 20/40, включая выравнивание подсыпки трактором</t>
  </si>
  <si>
    <t>Мелкий ремонт подъездных путей к участкам (внутри поселковых дорог)</t>
  </si>
  <si>
    <t>___ "__________" 2017 г.</t>
  </si>
  <si>
    <t>Протокол № 12 от ___ "___________" 2017 г.</t>
  </si>
  <si>
    <t>60 руб. х 20 раз</t>
  </si>
  <si>
    <t>Уборка площадки мусоросборной после зимы</t>
  </si>
  <si>
    <t>ЗП председателя правления</t>
  </si>
  <si>
    <t>Суд "под ключ" по тарифу ООО "Протект"</t>
  </si>
  <si>
    <t>Судебные расходы: суды с собственниками индивидуальных участков в поселке, уклоняющимися от уплаты взносов, утвержденных общим собранием</t>
  </si>
  <si>
    <t>Покос травы на участках ЗОП, май - авг</t>
  </si>
  <si>
    <t>Мобильная связь (тариф МегаФон — Корпоративный безлимит 600 минут в месяц )</t>
  </si>
  <si>
    <t>550 руб. х 12 мес.</t>
  </si>
  <si>
    <t>2 193 руб. х 35 часов</t>
  </si>
  <si>
    <t>5 900 руб. годовой тариф</t>
  </si>
  <si>
    <t>Картридж лазерный ProMEGA Print TN-1075 для Brother совместимый черный</t>
  </si>
  <si>
    <t>Файл-вкладыш Attache А4 30 мкм прозрачный гладкий 100 штук в упаковке</t>
  </si>
  <si>
    <t>Скобы для степлера №10 Attache оцинкованные (1000 штук в картонной упаковке)</t>
  </si>
  <si>
    <t>112,70 руб. х 10 шт.</t>
  </si>
  <si>
    <t>5,10 руб х 20 шт.</t>
  </si>
  <si>
    <t>132 руб. х 2 упаковки</t>
  </si>
  <si>
    <t>250 руб. х 5 упаковок</t>
  </si>
  <si>
    <t>254,56 руб х 5 упаковок</t>
  </si>
  <si>
    <t>Бумага SvetoCopy (A4, 80 г/кв.м, белизна 146% CIE, 500 листов в упаковке)</t>
  </si>
  <si>
    <t>17,54 руб. х 2 упаковки</t>
  </si>
  <si>
    <t>599 руб. х 3 шт.</t>
  </si>
  <si>
    <t>70 руб. х 250 писем</t>
  </si>
  <si>
    <t>Сайт (хостинг) последующие года (www.wix.com)</t>
  </si>
  <si>
    <t>Сайт (домен) (www.wix.com)</t>
  </si>
  <si>
    <t>Переадресация корреспонденции с юридического адреса товарищества на домашний адрес председатея правления</t>
  </si>
  <si>
    <t>236 руб. х 12 мес.</t>
  </si>
  <si>
    <t>Вывоз мусора апр - май, сент - окт 2 раза в месяц: большой контейнер, 1 шт.</t>
  </si>
  <si>
    <t>Вывоз мусора июнь - авг, 3 раза в месяц: большой контейнер, 1 шт.</t>
  </si>
  <si>
    <t>(5 500 руб. х 3 раза) х 3 мес.</t>
  </si>
  <si>
    <t>(5 500 руб. х 2 раза) х 4 мес.</t>
  </si>
  <si>
    <t>180 руб. х 290,61 соток х 1 раз</t>
  </si>
  <si>
    <t>15 000 руб. х 12 мес.</t>
  </si>
  <si>
    <t>30 000 руб. х 30,2% х 12 мес.</t>
  </si>
  <si>
    <t>40 000 руб. х 4 суда</t>
  </si>
  <si>
    <t>1 462 руб. х 40 часов</t>
  </si>
  <si>
    <t>2 350 руб. х 50 чел. х 4 квартала</t>
  </si>
  <si>
    <t>2 350 руб. х 104 чел. х 4 квартала</t>
  </si>
  <si>
    <r>
      <t>Итоговая сумма членского ежеквартального взноса (с учетом округления): ______________ руб. (_____________</t>
    </r>
    <r>
      <rPr>
        <i/>
        <u/>
        <sz val="11"/>
        <color theme="1"/>
        <rFont val="Calibri"/>
        <family val="2"/>
        <charset val="204"/>
        <scheme val="minor"/>
      </rPr>
      <t>_(прописью)_</t>
    </r>
    <r>
      <rPr>
        <sz val="11"/>
        <color theme="1"/>
        <rFont val="Calibri"/>
        <family val="2"/>
        <charset val="204"/>
        <scheme val="minor"/>
      </rPr>
      <t>_________руб._____ коп.)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</si>
</sst>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i/>
      <u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0" xfId="0" applyFont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3" fontId="0" fillId="0" borderId="12" xfId="0" applyNumberForma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4" fontId="0" fillId="0" borderId="20" xfId="0" applyNumberForma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4" fontId="0" fillId="0" borderId="22" xfId="0" applyNumberForma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9" fontId="0" fillId="0" borderId="11" xfId="0" applyNumberFormat="1" applyFill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4" fontId="4" fillId="5" borderId="6" xfId="0" applyNumberFormat="1" applyFont="1" applyFill="1" applyBorder="1" applyAlignment="1">
      <alignment horizontal="center" vertical="center"/>
    </xf>
    <xf numFmtId="3" fontId="4" fillId="5" borderId="24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6" borderId="10" xfId="0" applyFont="1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4" fontId="4" fillId="6" borderId="11" xfId="0" applyNumberFormat="1" applyFont="1" applyFill="1" applyBorder="1" applyAlignment="1">
      <alignment horizontal="center" vertical="center"/>
    </xf>
    <xf numFmtId="3" fontId="1" fillId="6" borderId="12" xfId="0" applyNumberFormat="1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4" fontId="4" fillId="6" borderId="22" xfId="0" applyNumberFormat="1" applyFont="1" applyFill="1" applyBorder="1" applyAlignment="1">
      <alignment horizontal="center" vertical="center"/>
    </xf>
    <xf numFmtId="3" fontId="1" fillId="6" borderId="23" xfId="0" applyNumberFormat="1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4" fontId="1" fillId="6" borderId="14" xfId="0" applyNumberFormat="1" applyFont="1" applyFill="1" applyBorder="1" applyAlignment="1">
      <alignment horizontal="center" vertical="center"/>
    </xf>
    <xf numFmtId="3" fontId="1" fillId="6" borderId="15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164" fontId="0" fillId="0" borderId="12" xfId="0" applyNumberFormat="1" applyFill="1" applyBorder="1" applyAlignment="1">
      <alignment horizontal="center" vertical="center"/>
    </xf>
    <xf numFmtId="0" fontId="0" fillId="0" borderId="21" xfId="0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4" fontId="5" fillId="0" borderId="0" xfId="0" applyNumberFormat="1" applyFont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4"/>
  <sheetViews>
    <sheetView tabSelected="1" zoomScale="88" zoomScaleNormal="88" workbookViewId="0">
      <selection activeCell="C77" sqref="C77"/>
    </sheetView>
  </sheetViews>
  <sheetFormatPr defaultColWidth="8.85546875" defaultRowHeight="15" x14ac:dyDescent="0.25"/>
  <cols>
    <col min="1" max="1" width="89.7109375" style="1" customWidth="1"/>
    <col min="2" max="2" width="34.28515625" style="1" customWidth="1"/>
    <col min="3" max="4" width="13.5703125" style="1" customWidth="1"/>
    <col min="5" max="16384" width="8.85546875" style="1"/>
  </cols>
  <sheetData>
    <row r="1" spans="1:4" ht="18.75" x14ac:dyDescent="0.25">
      <c r="A1" s="61" t="s">
        <v>0</v>
      </c>
      <c r="B1" s="61"/>
      <c r="C1" s="61"/>
      <c r="D1" s="61"/>
    </row>
    <row r="2" spans="1:4" ht="18.75" x14ac:dyDescent="0.3">
      <c r="A2" s="62" t="s">
        <v>1</v>
      </c>
      <c r="B2" s="62"/>
      <c r="C2" s="62"/>
      <c r="D2" s="62"/>
    </row>
    <row r="3" spans="1:4" ht="8.25" customHeight="1" x14ac:dyDescent="0.25"/>
    <row r="4" spans="1:4" x14ac:dyDescent="0.25">
      <c r="A4" s="63" t="s">
        <v>49</v>
      </c>
      <c r="B4" s="63"/>
      <c r="C4" s="63"/>
      <c r="D4" s="63"/>
    </row>
    <row r="5" spans="1:4" x14ac:dyDescent="0.25">
      <c r="A5" s="63" t="s">
        <v>38</v>
      </c>
      <c r="B5" s="63"/>
      <c r="C5" s="63"/>
      <c r="D5" s="63"/>
    </row>
    <row r="6" spans="1:4" ht="5.25" customHeight="1" x14ac:dyDescent="0.25"/>
    <row r="7" spans="1:4" ht="15.75" x14ac:dyDescent="0.25">
      <c r="A7" s="2" t="s">
        <v>2</v>
      </c>
      <c r="B7" s="3"/>
      <c r="C7" s="3"/>
      <c r="D7" s="3"/>
    </row>
    <row r="8" spans="1:4" ht="15.75" x14ac:dyDescent="0.25">
      <c r="A8" s="2" t="s">
        <v>3</v>
      </c>
      <c r="B8" s="3"/>
      <c r="C8" s="3"/>
      <c r="D8" s="3"/>
    </row>
    <row r="9" spans="1:4" ht="15.75" x14ac:dyDescent="0.25">
      <c r="A9" s="2" t="s">
        <v>55</v>
      </c>
      <c r="B9" s="3"/>
      <c r="C9" s="3"/>
      <c r="D9" s="3"/>
    </row>
    <row r="10" spans="1:4" ht="15.75" x14ac:dyDescent="0.25">
      <c r="A10" s="4" t="s">
        <v>56</v>
      </c>
      <c r="B10" s="3"/>
      <c r="C10" s="3"/>
      <c r="D10" s="3"/>
    </row>
    <row r="11" spans="1:4" ht="15.75" thickBot="1" x14ac:dyDescent="0.3">
      <c r="A11" s="3"/>
      <c r="B11" s="3"/>
      <c r="C11" s="3"/>
      <c r="D11" s="3"/>
    </row>
    <row r="12" spans="1:4" s="5" customFormat="1" x14ac:dyDescent="0.25">
      <c r="A12" s="64" t="s">
        <v>4</v>
      </c>
      <c r="B12" s="66" t="s">
        <v>5</v>
      </c>
      <c r="C12" s="68" t="s">
        <v>6</v>
      </c>
      <c r="D12" s="69"/>
    </row>
    <row r="13" spans="1:4" s="5" customFormat="1" ht="30.75" thickBot="1" x14ac:dyDescent="0.3">
      <c r="A13" s="65"/>
      <c r="B13" s="67"/>
      <c r="C13" s="6" t="s">
        <v>7</v>
      </c>
      <c r="D13" s="7" t="s">
        <v>8</v>
      </c>
    </row>
    <row r="14" spans="1:4" x14ac:dyDescent="0.25">
      <c r="A14" s="58" t="s">
        <v>9</v>
      </c>
      <c r="B14" s="59"/>
      <c r="C14" s="59"/>
      <c r="D14" s="60"/>
    </row>
    <row r="15" spans="1:4" x14ac:dyDescent="0.25">
      <c r="A15" s="42" t="s">
        <v>10</v>
      </c>
      <c r="B15" s="8" t="s">
        <v>92</v>
      </c>
      <c r="C15" s="9">
        <f>2350*50*4</f>
        <v>470000</v>
      </c>
      <c r="D15" s="10"/>
    </row>
    <row r="16" spans="1:4" x14ac:dyDescent="0.25">
      <c r="A16" s="42" t="s">
        <v>32</v>
      </c>
      <c r="B16" s="8" t="s">
        <v>93</v>
      </c>
      <c r="C16" s="9">
        <f>2350*104*4</f>
        <v>977600</v>
      </c>
      <c r="D16" s="10"/>
    </row>
    <row r="17" spans="1:4" ht="15.75" thickBot="1" x14ac:dyDescent="0.3">
      <c r="A17" s="38" t="s">
        <v>37</v>
      </c>
      <c r="B17" s="39"/>
      <c r="C17" s="40">
        <f>SUM(C15:C16)</f>
        <v>1447600</v>
      </c>
      <c r="D17" s="41"/>
    </row>
    <row r="18" spans="1:4" x14ac:dyDescent="0.25">
      <c r="A18" s="58" t="s">
        <v>11</v>
      </c>
      <c r="B18" s="59"/>
      <c r="C18" s="59"/>
      <c r="D18" s="60"/>
    </row>
    <row r="19" spans="1:4" x14ac:dyDescent="0.25">
      <c r="A19" s="55" t="s">
        <v>40</v>
      </c>
      <c r="B19" s="56"/>
      <c r="C19" s="56"/>
      <c r="D19" s="57"/>
    </row>
    <row r="20" spans="1:4" x14ac:dyDescent="0.25">
      <c r="A20" s="43" t="s">
        <v>12</v>
      </c>
      <c r="B20" s="11" t="s">
        <v>50</v>
      </c>
      <c r="C20" s="12">
        <f>450*2*15</f>
        <v>13500</v>
      </c>
      <c r="D20" s="10">
        <f t="shared" ref="D20:D31" si="0">C20/12/$C$61</f>
        <v>7.3051948051948052</v>
      </c>
    </row>
    <row r="21" spans="1:4" x14ac:dyDescent="0.25">
      <c r="A21" s="42" t="s">
        <v>13</v>
      </c>
      <c r="B21" s="8" t="s">
        <v>51</v>
      </c>
      <c r="C21" s="9">
        <f>450*2*21</f>
        <v>18900</v>
      </c>
      <c r="D21" s="10">
        <f t="shared" si="0"/>
        <v>10.227272727272727</v>
      </c>
    </row>
    <row r="22" spans="1:4" x14ac:dyDescent="0.25">
      <c r="A22" s="42" t="s">
        <v>83</v>
      </c>
      <c r="B22" s="8" t="s">
        <v>86</v>
      </c>
      <c r="C22" s="9">
        <f>5500*2*4</f>
        <v>44000</v>
      </c>
      <c r="D22" s="10">
        <f t="shared" si="0"/>
        <v>23.80952380952381</v>
      </c>
    </row>
    <row r="23" spans="1:4" x14ac:dyDescent="0.25">
      <c r="A23" s="42" t="s">
        <v>84</v>
      </c>
      <c r="B23" s="8" t="s">
        <v>85</v>
      </c>
      <c r="C23" s="9">
        <f>5500*3*3</f>
        <v>49500</v>
      </c>
      <c r="D23" s="10">
        <f>C23/12/$C$61</f>
        <v>26.785714285714285</v>
      </c>
    </row>
    <row r="24" spans="1:4" x14ac:dyDescent="0.25">
      <c r="A24" s="52" t="s">
        <v>58</v>
      </c>
      <c r="B24" s="13" t="s">
        <v>25</v>
      </c>
      <c r="C24" s="14">
        <v>4386</v>
      </c>
      <c r="D24" s="10">
        <f>C24/12/$C$61</f>
        <v>2.3733766233766236</v>
      </c>
    </row>
    <row r="25" spans="1:4" ht="45" x14ac:dyDescent="0.25">
      <c r="A25" s="44" t="s">
        <v>53</v>
      </c>
      <c r="B25" s="13" t="s">
        <v>52</v>
      </c>
      <c r="C25" s="14">
        <f>1500*100</f>
        <v>150000</v>
      </c>
      <c r="D25" s="10">
        <f t="shared" si="0"/>
        <v>81.168831168831176</v>
      </c>
    </row>
    <row r="26" spans="1:4" x14ac:dyDescent="0.25">
      <c r="A26" s="44" t="s">
        <v>54</v>
      </c>
      <c r="B26" s="13" t="s">
        <v>91</v>
      </c>
      <c r="C26" s="14">
        <f>1462*40</f>
        <v>58480</v>
      </c>
      <c r="D26" s="10">
        <f t="shared" si="0"/>
        <v>31.645021645021643</v>
      </c>
    </row>
    <row r="27" spans="1:4" x14ac:dyDescent="0.25">
      <c r="A27" s="45" t="s">
        <v>46</v>
      </c>
      <c r="B27" s="13" t="s">
        <v>65</v>
      </c>
      <c r="C27" s="14">
        <f>2193*35</f>
        <v>76755</v>
      </c>
      <c r="D27" s="10">
        <f>C27/12/$C$61</f>
        <v>41.534090909090907</v>
      </c>
    </row>
    <row r="28" spans="1:4" x14ac:dyDescent="0.25">
      <c r="A28" s="45" t="s">
        <v>47</v>
      </c>
      <c r="B28" s="13" t="s">
        <v>48</v>
      </c>
      <c r="C28" s="14">
        <f>2924*5</f>
        <v>14620</v>
      </c>
      <c r="D28" s="10">
        <f>C28/12/$C$61</f>
        <v>7.9112554112554108</v>
      </c>
    </row>
    <row r="29" spans="1:4" x14ac:dyDescent="0.25">
      <c r="A29" s="45" t="s">
        <v>62</v>
      </c>
      <c r="B29" s="13" t="s">
        <v>87</v>
      </c>
      <c r="C29" s="14">
        <f>ROUND((180*290.61*1),0)</f>
        <v>52310</v>
      </c>
      <c r="D29" s="10">
        <f t="shared" si="0"/>
        <v>28.306277056277057</v>
      </c>
    </row>
    <row r="30" spans="1:4" x14ac:dyDescent="0.25">
      <c r="A30" s="55" t="s">
        <v>61</v>
      </c>
      <c r="B30" s="56"/>
      <c r="C30" s="56"/>
      <c r="D30" s="57"/>
    </row>
    <row r="31" spans="1:4" x14ac:dyDescent="0.25">
      <c r="A31" s="53" t="s">
        <v>60</v>
      </c>
      <c r="B31" s="8" t="s">
        <v>90</v>
      </c>
      <c r="C31" s="9">
        <f>40000*4</f>
        <v>160000</v>
      </c>
      <c r="D31" s="10">
        <f t="shared" si="0"/>
        <v>86.580086580086586</v>
      </c>
    </row>
    <row r="32" spans="1:4" x14ac:dyDescent="0.25">
      <c r="A32" s="55" t="s">
        <v>39</v>
      </c>
      <c r="B32" s="56"/>
      <c r="C32" s="56"/>
      <c r="D32" s="57"/>
    </row>
    <row r="33" spans="1:4" x14ac:dyDescent="0.25">
      <c r="A33" s="42" t="s">
        <v>16</v>
      </c>
      <c r="B33" s="8" t="s">
        <v>70</v>
      </c>
      <c r="C33" s="9">
        <f>112.7*10</f>
        <v>1127</v>
      </c>
      <c r="D33" s="51">
        <f>C33/12/$C$61</f>
        <v>0.60984848484848486</v>
      </c>
    </row>
    <row r="34" spans="1:4" x14ac:dyDescent="0.25">
      <c r="A34" s="42" t="s">
        <v>17</v>
      </c>
      <c r="B34" s="8" t="s">
        <v>71</v>
      </c>
      <c r="C34" s="9">
        <f>5.1*20</f>
        <v>102</v>
      </c>
      <c r="D34" s="51">
        <f>C34/12/$C$61</f>
        <v>5.5194805194805192E-2</v>
      </c>
    </row>
    <row r="35" spans="1:4" x14ac:dyDescent="0.25">
      <c r="A35" s="42" t="s">
        <v>75</v>
      </c>
      <c r="B35" s="8" t="s">
        <v>74</v>
      </c>
      <c r="C35" s="9">
        <f>ROUND(254.56*5,0)</f>
        <v>1273</v>
      </c>
      <c r="D35" s="51">
        <f>C35/12/$C$61</f>
        <v>0.68885281385281383</v>
      </c>
    </row>
    <row r="36" spans="1:4" ht="30" x14ac:dyDescent="0.25">
      <c r="A36" s="48" t="s">
        <v>18</v>
      </c>
      <c r="B36" s="8" t="s">
        <v>73</v>
      </c>
      <c r="C36" s="9">
        <f>250*5</f>
        <v>1250</v>
      </c>
      <c r="D36" s="51">
        <f>C36/12/$C$61</f>
        <v>0.67640692640692646</v>
      </c>
    </row>
    <row r="37" spans="1:4" x14ac:dyDescent="0.25">
      <c r="A37" s="48" t="s">
        <v>68</v>
      </c>
      <c r="B37" s="8" t="s">
        <v>72</v>
      </c>
      <c r="C37" s="9">
        <f>132*2</f>
        <v>264</v>
      </c>
      <c r="D37" s="51">
        <f t="shared" ref="D37:D38" si="1">C37/12/$C$61</f>
        <v>0.14285714285714285</v>
      </c>
    </row>
    <row r="38" spans="1:4" x14ac:dyDescent="0.25">
      <c r="A38" s="48" t="s">
        <v>69</v>
      </c>
      <c r="B38" s="8" t="s">
        <v>76</v>
      </c>
      <c r="C38" s="9">
        <f>ROUND(17.54*2,0)</f>
        <v>35</v>
      </c>
      <c r="D38" s="51">
        <f t="shared" si="1"/>
        <v>1.893939393939394E-2</v>
      </c>
    </row>
    <row r="39" spans="1:4" x14ac:dyDescent="0.25">
      <c r="A39" s="48" t="s">
        <v>67</v>
      </c>
      <c r="B39" s="8" t="s">
        <v>77</v>
      </c>
      <c r="C39" s="9">
        <f>599*3</f>
        <v>1797</v>
      </c>
      <c r="D39" s="51">
        <f>C39/12/$C$61</f>
        <v>0.97240259740259738</v>
      </c>
    </row>
    <row r="40" spans="1:4" x14ac:dyDescent="0.25">
      <c r="A40" s="55" t="s">
        <v>41</v>
      </c>
      <c r="B40" s="56"/>
      <c r="C40" s="56"/>
      <c r="D40" s="57"/>
    </row>
    <row r="41" spans="1:4" x14ac:dyDescent="0.25">
      <c r="A41" s="42" t="s">
        <v>59</v>
      </c>
      <c r="B41" s="8" t="s">
        <v>88</v>
      </c>
      <c r="C41" s="9">
        <f>15000*12</f>
        <v>180000</v>
      </c>
      <c r="D41" s="10">
        <f>C41/12/$C$61</f>
        <v>97.402597402597408</v>
      </c>
    </row>
    <row r="42" spans="1:4" x14ac:dyDescent="0.25">
      <c r="A42" s="42" t="s">
        <v>19</v>
      </c>
      <c r="B42" s="8" t="s">
        <v>88</v>
      </c>
      <c r="C42" s="9">
        <f>15000*12</f>
        <v>180000</v>
      </c>
      <c r="D42" s="10">
        <f>C42/12/$C$61</f>
        <v>97.402597402597408</v>
      </c>
    </row>
    <row r="43" spans="1:4" x14ac:dyDescent="0.25">
      <c r="A43" s="55" t="s">
        <v>42</v>
      </c>
      <c r="B43" s="56"/>
      <c r="C43" s="56"/>
      <c r="D43" s="57"/>
    </row>
    <row r="44" spans="1:4" x14ac:dyDescent="0.25">
      <c r="A44" s="42" t="s">
        <v>20</v>
      </c>
      <c r="B44" s="15" t="s">
        <v>89</v>
      </c>
      <c r="C44" s="9">
        <f>30000*0.302*12</f>
        <v>108720</v>
      </c>
      <c r="D44" s="10">
        <f>C44/12/$C$61</f>
        <v>58.831168831168831</v>
      </c>
    </row>
    <row r="45" spans="1:4" ht="45" x14ac:dyDescent="0.25">
      <c r="A45" s="46" t="s">
        <v>21</v>
      </c>
      <c r="B45" s="16" t="s">
        <v>22</v>
      </c>
      <c r="C45" s="17">
        <f>ROUND((234816.06+49035.96+45255.15+2502017.85)*0.003,0)</f>
        <v>8493</v>
      </c>
      <c r="D45" s="10">
        <f>C45/12/$C$61</f>
        <v>4.595779220779221</v>
      </c>
    </row>
    <row r="46" spans="1:4" x14ac:dyDescent="0.25">
      <c r="A46" s="55" t="s">
        <v>43</v>
      </c>
      <c r="B46" s="56"/>
      <c r="C46" s="56"/>
      <c r="D46" s="57"/>
    </row>
    <row r="47" spans="1:4" x14ac:dyDescent="0.25">
      <c r="A47" s="42" t="s">
        <v>33</v>
      </c>
      <c r="B47" s="8" t="s">
        <v>14</v>
      </c>
      <c r="C47" s="9">
        <f>1200*12</f>
        <v>14400</v>
      </c>
      <c r="D47" s="10">
        <f>C47/12/$C$61</f>
        <v>7.7922077922077921</v>
      </c>
    </row>
    <row r="48" spans="1:4" x14ac:dyDescent="0.25">
      <c r="A48" s="42" t="s">
        <v>23</v>
      </c>
      <c r="B48" s="8" t="s">
        <v>57</v>
      </c>
      <c r="C48" s="9">
        <f>60*20</f>
        <v>1200</v>
      </c>
      <c r="D48" s="10">
        <f>C48/12/$C$61</f>
        <v>0.64935064935064934</v>
      </c>
    </row>
    <row r="49" spans="1:4" x14ac:dyDescent="0.25">
      <c r="A49" s="55" t="s">
        <v>44</v>
      </c>
      <c r="B49" s="56"/>
      <c r="C49" s="56"/>
      <c r="D49" s="57"/>
    </row>
    <row r="50" spans="1:4" x14ac:dyDescent="0.25">
      <c r="A50" s="42" t="s">
        <v>24</v>
      </c>
      <c r="B50" s="8" t="s">
        <v>25</v>
      </c>
      <c r="C50" s="9">
        <v>25000</v>
      </c>
      <c r="D50" s="10">
        <f>C50/12/$C$61</f>
        <v>13.528138528138529</v>
      </c>
    </row>
    <row r="51" spans="1:4" x14ac:dyDescent="0.25">
      <c r="A51" s="48" t="s">
        <v>63</v>
      </c>
      <c r="B51" s="8" t="s">
        <v>64</v>
      </c>
      <c r="C51" s="9">
        <f>550*12</f>
        <v>6600</v>
      </c>
      <c r="D51" s="10">
        <f t="shared" ref="D51:D56" si="2">C51/12/$C$61</f>
        <v>3.5714285714285716</v>
      </c>
    </row>
    <row r="52" spans="1:4" x14ac:dyDescent="0.25">
      <c r="A52" s="45" t="s">
        <v>15</v>
      </c>
      <c r="B52" s="13" t="s">
        <v>78</v>
      </c>
      <c r="C52" s="14">
        <f>70*250</f>
        <v>17500</v>
      </c>
      <c r="D52" s="10">
        <f t="shared" si="2"/>
        <v>9.4696969696969688</v>
      </c>
    </row>
    <row r="53" spans="1:4" ht="30" x14ac:dyDescent="0.25">
      <c r="A53" s="44" t="s">
        <v>81</v>
      </c>
      <c r="B53" s="13" t="s">
        <v>82</v>
      </c>
      <c r="C53" s="14">
        <f>236*12</f>
        <v>2832</v>
      </c>
      <c r="D53" s="10">
        <f t="shared" si="2"/>
        <v>1.5324675324675325</v>
      </c>
    </row>
    <row r="54" spans="1:4" x14ac:dyDescent="0.25">
      <c r="A54" s="42" t="s">
        <v>79</v>
      </c>
      <c r="B54" s="8" t="s">
        <v>25</v>
      </c>
      <c r="C54" s="9">
        <v>4500</v>
      </c>
      <c r="D54" s="10">
        <f t="shared" si="2"/>
        <v>2.4350649350649349</v>
      </c>
    </row>
    <row r="55" spans="1:4" x14ac:dyDescent="0.25">
      <c r="A55" s="42" t="s">
        <v>80</v>
      </c>
      <c r="B55" s="8" t="s">
        <v>25</v>
      </c>
      <c r="C55" s="9">
        <f>ROUND(1322.78,0)</f>
        <v>1323</v>
      </c>
      <c r="D55" s="10">
        <f t="shared" si="2"/>
        <v>0.71590909090909094</v>
      </c>
    </row>
    <row r="56" spans="1:4" ht="30" x14ac:dyDescent="0.25">
      <c r="A56" s="47" t="s">
        <v>26</v>
      </c>
      <c r="B56" s="18" t="s">
        <v>66</v>
      </c>
      <c r="C56" s="17">
        <v>5900</v>
      </c>
      <c r="D56" s="10">
        <f t="shared" si="2"/>
        <v>3.1926406926406927</v>
      </c>
    </row>
    <row r="57" spans="1:4" x14ac:dyDescent="0.25">
      <c r="A57" s="30" t="s">
        <v>36</v>
      </c>
      <c r="B57" s="31"/>
      <c r="C57" s="32">
        <f>SUM(C20:C56)</f>
        <v>1204767</v>
      </c>
      <c r="D57" s="33"/>
    </row>
    <row r="58" spans="1:4" ht="30" x14ac:dyDescent="0.25">
      <c r="A58" s="49" t="s">
        <v>45</v>
      </c>
      <c r="B58" s="20">
        <v>0.2</v>
      </c>
      <c r="C58" s="9">
        <f>ROUND((C57*0.2),0)</f>
        <v>240953</v>
      </c>
      <c r="D58" s="10">
        <f>C58/12/$C$61</f>
        <v>130.38582251082252</v>
      </c>
    </row>
    <row r="59" spans="1:4" x14ac:dyDescent="0.25">
      <c r="A59" s="30" t="s">
        <v>35</v>
      </c>
      <c r="B59" s="31"/>
      <c r="C59" s="32">
        <f>SUM(C57:C58)</f>
        <v>1445720</v>
      </c>
      <c r="D59" s="33"/>
    </row>
    <row r="60" spans="1:4" x14ac:dyDescent="0.25">
      <c r="A60" s="34" t="s">
        <v>34</v>
      </c>
      <c r="B60" s="35"/>
      <c r="C60" s="36">
        <f>ROUND((C59/4),0)</f>
        <v>361430</v>
      </c>
      <c r="D60" s="37"/>
    </row>
    <row r="61" spans="1:4" x14ac:dyDescent="0.25">
      <c r="A61" s="50" t="s">
        <v>27</v>
      </c>
      <c r="B61" s="19"/>
      <c r="C61" s="21">
        <v>154</v>
      </c>
      <c r="D61" s="22"/>
    </row>
    <row r="62" spans="1:4" ht="15.75" thickBot="1" x14ac:dyDescent="0.3">
      <c r="A62" s="23" t="s">
        <v>28</v>
      </c>
      <c r="B62" s="24"/>
      <c r="C62" s="25">
        <f>ROUND((C60/C61),0)</f>
        <v>2347</v>
      </c>
      <c r="D62" s="26">
        <f>C62/3</f>
        <v>782.33333333333337</v>
      </c>
    </row>
    <row r="63" spans="1:4" x14ac:dyDescent="0.25">
      <c r="C63" s="54"/>
      <c r="D63" s="27"/>
    </row>
    <row r="64" spans="1:4" x14ac:dyDescent="0.25">
      <c r="A64" s="28" t="s">
        <v>94</v>
      </c>
      <c r="C64" s="27"/>
      <c r="D64" s="27"/>
    </row>
    <row r="65" spans="1:4" x14ac:dyDescent="0.25">
      <c r="C65" s="27"/>
      <c r="D65" s="27"/>
    </row>
    <row r="66" spans="1:4" x14ac:dyDescent="0.25">
      <c r="A66" s="28" t="s">
        <v>29</v>
      </c>
    </row>
    <row r="67" spans="1:4" x14ac:dyDescent="0.25">
      <c r="A67" s="28"/>
    </row>
    <row r="68" spans="1:4" x14ac:dyDescent="0.25">
      <c r="A68" s="28" t="s">
        <v>30</v>
      </c>
    </row>
    <row r="70" spans="1:4" x14ac:dyDescent="0.25">
      <c r="A70" s="28" t="s">
        <v>31</v>
      </c>
    </row>
    <row r="72" spans="1:4" ht="15.75" x14ac:dyDescent="0.25">
      <c r="A72" s="2" t="s">
        <v>55</v>
      </c>
    </row>
    <row r="74" spans="1:4" x14ac:dyDescent="0.25">
      <c r="A74" s="29"/>
    </row>
  </sheetData>
  <mergeCells count="16">
    <mergeCell ref="A1:D1"/>
    <mergeCell ref="A2:D2"/>
    <mergeCell ref="A4:D4"/>
    <mergeCell ref="A12:A13"/>
    <mergeCell ref="B12:B13"/>
    <mergeCell ref="C12:D12"/>
    <mergeCell ref="A5:D5"/>
    <mergeCell ref="A43:D43"/>
    <mergeCell ref="A46:D46"/>
    <mergeCell ref="A49:D49"/>
    <mergeCell ref="A14:D14"/>
    <mergeCell ref="A18:D18"/>
    <mergeCell ref="A19:D19"/>
    <mergeCell ref="A32:D32"/>
    <mergeCell ref="A40:D40"/>
    <mergeCell ref="A30:D30"/>
  </mergeCells>
  <pageMargins left="0.11811023622047245" right="0.11811023622047245" top="0.15748031496062992" bottom="0.15748031496062992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Ежекварт 2018 Проект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Arhiv</dc:creator>
  <cp:lastModifiedBy>Arhiv</cp:lastModifiedBy>
  <cp:lastPrinted>2017-09-18T13:50:20Z</cp:lastPrinted>
  <dcterms:created xsi:type="dcterms:W3CDTF">2016-10-26T08:42:00Z</dcterms:created>
  <dcterms:modified xsi:type="dcterms:W3CDTF">2017-10-13T11:08:14Z</dcterms:modified>
</cp:coreProperties>
</file>